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itlin Black\Documents\Sling Central\"/>
    </mc:Choice>
  </mc:AlternateContent>
  <xr:revisionPtr revIDLastSave="0" documentId="13_ncr:1_{74E9CF42-F6F5-4D29-B134-E3104051534F}" xr6:coauthVersionLast="45" xr6:coauthVersionMax="45" xr10:uidLastSave="{00000000-0000-0000-0000-000000000000}"/>
  <bookViews>
    <workbookView xWindow="-120" yWindow="-120" windowWidth="20640" windowHeight="11160" xr2:uid="{505AE485-D467-47C6-8393-8F1F24B8344B}"/>
  </bookViews>
  <sheets>
    <sheet name="W&amp;B Calculator" sheetId="1" r:id="rId1"/>
    <sheet name="Aircraft Information Databa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" l="1"/>
  <c r="M4" i="1"/>
  <c r="I15" i="1" l="1"/>
  <c r="I14" i="1"/>
  <c r="I13" i="1"/>
  <c r="I12" i="1"/>
  <c r="I11" i="1"/>
  <c r="I10" i="1"/>
  <c r="I9" i="1"/>
  <c r="I8" i="1"/>
  <c r="I7" i="1"/>
  <c r="H15" i="1"/>
  <c r="H14" i="1"/>
  <c r="H13" i="1"/>
  <c r="H12" i="1"/>
  <c r="H11" i="1"/>
  <c r="H10" i="1"/>
  <c r="H9" i="1"/>
  <c r="H8" i="1"/>
  <c r="H7" i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E4" i="1"/>
  <c r="D4" i="1"/>
  <c r="C4" i="1"/>
  <c r="B4" i="1"/>
  <c r="P4" i="1"/>
  <c r="G4" i="1" l="1"/>
  <c r="D7" i="1"/>
  <c r="D15" i="1" s="1"/>
  <c r="B16" i="1"/>
  <c r="C17" i="1" l="1"/>
  <c r="C18" i="1" s="1"/>
</calcChain>
</file>

<file path=xl/sharedStrings.xml><?xml version="1.0" encoding="utf-8"?>
<sst xmlns="http://schemas.openxmlformats.org/spreadsheetml/2006/main" count="80" uniqueCount="72">
  <si>
    <t>Sling Airplane Weight and Balance</t>
  </si>
  <si>
    <t>Sling Model</t>
  </si>
  <si>
    <t>Sling 2 LSA</t>
  </si>
  <si>
    <t>Sling TSi</t>
  </si>
  <si>
    <t>Empty Weight</t>
  </si>
  <si>
    <t>Empty Moment</t>
  </si>
  <si>
    <t>MAC</t>
  </si>
  <si>
    <t>MAC LE Station</t>
  </si>
  <si>
    <t>Sling 2 E-AB</t>
  </si>
  <si>
    <t>Sling 4</t>
  </si>
  <si>
    <t>Sling TSi High Wing</t>
  </si>
  <si>
    <t>Aircraft Model</t>
  </si>
  <si>
    <t>Sling 2 LSA N516NG</t>
  </si>
  <si>
    <t>Lbs to kg</t>
  </si>
  <si>
    <t>Kgs to lbs</t>
  </si>
  <si>
    <t>Lbs</t>
  </si>
  <si>
    <t>Kg</t>
  </si>
  <si>
    <t>Forward Baggage</t>
  </si>
  <si>
    <t>Fuel</t>
  </si>
  <si>
    <t>Extended Fuel</t>
  </si>
  <si>
    <t>Weight</t>
  </si>
  <si>
    <t>Moment</t>
  </si>
  <si>
    <t>Arm</t>
  </si>
  <si>
    <t>CG % MAC</t>
  </si>
  <si>
    <t>Pilot/Passenger</t>
  </si>
  <si>
    <t>Rear Passenger</t>
  </si>
  <si>
    <t>Aft Baggage</t>
  </si>
  <si>
    <t>Fuel (kgs)</t>
  </si>
  <si>
    <t>Pilot (kgs)</t>
  </si>
  <si>
    <t>Passenger (kgs)</t>
  </si>
  <si>
    <t>Rear Passengers (kgs)</t>
  </si>
  <si>
    <t>Forward Baggage (kgs)</t>
  </si>
  <si>
    <t>Rear Baggage (kgs)</t>
  </si>
  <si>
    <t>Extended Fuel (kgs)</t>
  </si>
  <si>
    <t>Gross Weight (kgs)</t>
  </si>
  <si>
    <t>Total Moment (kg * mm)</t>
  </si>
  <si>
    <t>CG from datum (mm)</t>
  </si>
  <si>
    <t>CGX1</t>
  </si>
  <si>
    <t>CGY1</t>
  </si>
  <si>
    <t>CGX2</t>
  </si>
  <si>
    <t>CGY2</t>
  </si>
  <si>
    <t>CGX3</t>
  </si>
  <si>
    <t>CGY3</t>
  </si>
  <si>
    <t>CGX4</t>
  </si>
  <si>
    <t>CGY4</t>
  </si>
  <si>
    <t>CGX5</t>
  </si>
  <si>
    <t>CGY5</t>
  </si>
  <si>
    <t>CGX6</t>
  </si>
  <si>
    <t>CGY6</t>
  </si>
  <si>
    <t>CGX7</t>
  </si>
  <si>
    <t>CGY7</t>
  </si>
  <si>
    <t>CGX8</t>
  </si>
  <si>
    <t>CGY8</t>
  </si>
  <si>
    <t>CGX9</t>
  </si>
  <si>
    <t>CGY9</t>
  </si>
  <si>
    <t>X</t>
  </si>
  <si>
    <t>Y</t>
  </si>
  <si>
    <t>Gallons to kg</t>
  </si>
  <si>
    <t>Gallons</t>
  </si>
  <si>
    <t>Weight Conversions</t>
  </si>
  <si>
    <t>Legend</t>
  </si>
  <si>
    <t>Input</t>
  </si>
  <si>
    <t>From Database</t>
  </si>
  <si>
    <t>Calculated</t>
  </si>
  <si>
    <t>Find similar aircraft to yours, copy and paste it at the bottom, then correct values for empty weight and empty moment</t>
  </si>
  <si>
    <t>Don't forget to sort the whole table by Aircraft Model A to Z</t>
  </si>
  <si>
    <t>NOTE: THIS AREA MUST BE SORTED BY AIRCRAFT MODEL LOWEST TO HIGHEST</t>
  </si>
  <si>
    <t>Leave empty</t>
  </si>
  <si>
    <t>MAC LE</t>
  </si>
  <si>
    <t>Max Gross Weight</t>
  </si>
  <si>
    <t>kgs</t>
  </si>
  <si>
    <t>Sling 4 N722CM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</si>
</sst>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0" xfId="0" applyFill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0" fontId="0" fillId="2" borderId="13" xfId="0" applyFill="1" applyBorder="1"/>
    <xf numFmtId="0" fontId="0" fillId="4" borderId="13" xfId="0" applyFill="1" applyBorder="1"/>
    <xf numFmtId="0" fontId="0" fillId="5" borderId="13" xfId="0" applyFill="1" applyBorder="1"/>
    <xf numFmtId="0" fontId="1" fillId="5" borderId="13" xfId="0" applyFont="1" applyFill="1" applyBorder="1"/>
    <xf numFmtId="0" fontId="0" fillId="6" borderId="13" xfId="0" applyFill="1" applyBorder="1"/>
    <xf numFmtId="0" fontId="1" fillId="0" borderId="16" xfId="0" applyFont="1" applyBorder="1"/>
    <xf numFmtId="0" fontId="0" fillId="2" borderId="17" xfId="0" applyFill="1" applyBorder="1"/>
    <xf numFmtId="0" fontId="0" fillId="0" borderId="18" xfId="0" applyBorder="1"/>
    <xf numFmtId="0" fontId="0" fillId="0" borderId="0" xfId="0" applyBorder="1" applyAlignment="1"/>
    <xf numFmtId="0" fontId="1" fillId="0" borderId="2" xfId="0" applyFont="1" applyBorder="1" applyAlignment="1"/>
    <xf numFmtId="0" fontId="0" fillId="0" borderId="3" xfId="0" applyBorder="1"/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1" fillId="0" borderId="19" xfId="0" applyFont="1" applyBorder="1"/>
  </cellXfs>
  <cellStyles count="1">
    <cellStyle name="Normal" xfId="0" builtinId="0"/>
  </cellStyles>
  <dxfs count="3">
    <dxf>
      <font>
        <color theme="9" tint="-0.24994659260841701"/>
      </font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</a:t>
            </a:r>
            <a:r>
              <a:rPr lang="en-US" baseline="0"/>
              <a:t> and Balance Envelope</a:t>
            </a:r>
          </a:p>
          <a:p>
            <a:pPr>
              <a:defRPr/>
            </a:pPr>
            <a:r>
              <a:rPr lang="en-US" baseline="0"/>
              <a:t>Weight vs % MAC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'W&amp;B Calculator'!$H$7:$H$15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xVal>
          <c:yVal>
            <c:numRef>
              <c:f>'W&amp;B Calculator'!$I$7:$I$15</c:f>
              <c:numCache>
                <c:formatCode>General</c:formatCode>
                <c:ptCount val="9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500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500</c:v>
                </c:pt>
                <c:pt idx="8">
                  <c:v>350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13-4B73-B4EC-30BBC0370FF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headEnd type="oval"/>
                <a:tailEnd type="oval"/>
              </a:ln>
              <a:effectLst/>
            </c:spPr>
          </c:marker>
          <c:xVal>
            <c:numRef>
              <c:f>'W&amp;B Calculator'!$C$18</c:f>
              <c:numCache>
                <c:formatCode>General</c:formatCode>
                <c:ptCount val="1"/>
                <c:pt idx="0">
                  <c:v>23.503562069115642</c:v>
                </c:pt>
              </c:numCache>
            </c:numRef>
          </c:xVal>
          <c:yVal>
            <c:numRef>
              <c:f>'W&amp;B Calculator'!$B$16</c:f>
              <c:numCache>
                <c:formatCode>General</c:formatCode>
                <c:ptCount val="1"/>
                <c:pt idx="0">
                  <c:v>598.53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13-4B73-B4EC-30BBC0370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897920"/>
        <c:axId val="428898576"/>
      </c:scatterChart>
      <c:valAx>
        <c:axId val="42889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898576"/>
        <c:crosses val="autoZero"/>
        <c:crossBetween val="midCat"/>
      </c:valAx>
      <c:valAx>
        <c:axId val="428898576"/>
        <c:scaling>
          <c:orientation val="minMax"/>
          <c:max val="10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897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80961</xdr:rowOff>
    </xdr:from>
    <xdr:to>
      <xdr:col>9</xdr:col>
      <xdr:colOff>533400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5F3B9C-8A16-4F66-91E6-9A6EAEDFFB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DA8F-D222-4333-BE8D-4BD9B431F392}">
  <sheetPr codeName="Sheet1"/>
  <dimension ref="A1:P22"/>
  <sheetViews>
    <sheetView tabSelected="1" workbookViewId="0">
      <selection activeCell="A4" sqref="A4"/>
    </sheetView>
  </sheetViews>
  <sheetFormatPr defaultRowHeight="15" x14ac:dyDescent="0.25"/>
  <cols>
    <col min="1" max="1" width="22" customWidth="1"/>
    <col min="2" max="2" width="13.28515625" customWidth="1"/>
    <col min="3" max="3" width="14.140625" customWidth="1"/>
    <col min="4" max="4" width="10.140625" customWidth="1"/>
    <col min="5" max="5" width="11.85546875" customWidth="1"/>
    <col min="6" max="6" width="9.140625" customWidth="1"/>
    <col min="12" max="12" width="9.140625" style="4" customWidth="1"/>
    <col min="13" max="13" width="8.5703125" bestFit="1" customWidth="1"/>
  </cols>
  <sheetData>
    <row r="1" spans="1:16" ht="15.75" thickTop="1" x14ac:dyDescent="0.25">
      <c r="A1" s="10" t="s">
        <v>0</v>
      </c>
      <c r="B1" s="11"/>
      <c r="C1" s="11"/>
      <c r="D1" s="11"/>
      <c r="E1" s="11"/>
      <c r="F1" s="2"/>
      <c r="G1" s="26"/>
      <c r="H1" s="26"/>
      <c r="I1" s="2"/>
      <c r="J1" s="27"/>
      <c r="K1" s="4"/>
      <c r="L1" s="28" t="s">
        <v>59</v>
      </c>
      <c r="M1" s="28"/>
      <c r="N1" s="28"/>
      <c r="O1" s="28"/>
      <c r="P1" s="28"/>
    </row>
    <row r="2" spans="1:16" ht="15.75" thickBot="1" x14ac:dyDescent="0.3">
      <c r="A2" s="3"/>
      <c r="B2" s="4"/>
      <c r="C2" s="4"/>
      <c r="D2" s="4"/>
      <c r="E2" s="4"/>
      <c r="F2" s="4"/>
      <c r="G2" s="25"/>
      <c r="H2" s="25"/>
      <c r="I2" s="4"/>
      <c r="J2" s="6"/>
      <c r="K2" s="4"/>
      <c r="L2" s="29" t="s">
        <v>13</v>
      </c>
      <c r="M2" s="29"/>
      <c r="N2" s="4"/>
      <c r="O2" s="29" t="s">
        <v>14</v>
      </c>
      <c r="P2" s="29"/>
    </row>
    <row r="3" spans="1:16" x14ac:dyDescent="0.25">
      <c r="A3" s="22" t="s">
        <v>1</v>
      </c>
      <c r="B3" s="12" t="s">
        <v>4</v>
      </c>
      <c r="C3" s="12" t="s">
        <v>5</v>
      </c>
      <c r="D3" s="12" t="s">
        <v>6</v>
      </c>
      <c r="E3" s="13" t="s">
        <v>68</v>
      </c>
      <c r="F3" s="4"/>
      <c r="G3" s="31" t="s">
        <v>69</v>
      </c>
      <c r="H3" s="32"/>
      <c r="I3" s="4"/>
      <c r="J3" s="6"/>
      <c r="K3" s="4"/>
      <c r="L3" s="16" t="s">
        <v>15</v>
      </c>
      <c r="M3" s="17">
        <v>150</v>
      </c>
      <c r="N3" s="5"/>
      <c r="O3" s="16" t="s">
        <v>16</v>
      </c>
      <c r="P3" s="17">
        <v>42</v>
      </c>
    </row>
    <row r="4" spans="1:16" ht="15.75" thickBot="1" x14ac:dyDescent="0.3">
      <c r="A4" s="23" t="s">
        <v>12</v>
      </c>
      <c r="B4" s="14">
        <f>VLOOKUP($A$4, 'Aircraft Information Database'!$A$2:$AC$19,2)</f>
        <v>407.5</v>
      </c>
      <c r="C4" s="14">
        <f>VLOOKUP($A$4, 'Aircraft Information Database'!$A$2:$AC$19,3)</f>
        <v>686766</v>
      </c>
      <c r="D4" s="14">
        <f>VLOOKUP($A$4, 'Aircraft Information Database'!$A$2:$AC$19,4)</f>
        <v>1339</v>
      </c>
      <c r="E4" s="15">
        <f>VLOOKUP($A$4, 'Aircraft Information Database'!$A$2:$AC$19,5)</f>
        <v>1366</v>
      </c>
      <c r="F4" s="4"/>
      <c r="G4" s="34">
        <f>MAX(I7:I15)</f>
        <v>600</v>
      </c>
      <c r="H4" s="33" t="s">
        <v>70</v>
      </c>
      <c r="I4" s="4"/>
      <c r="J4" s="6"/>
      <c r="K4" s="4"/>
      <c r="L4" s="16" t="s">
        <v>16</v>
      </c>
      <c r="M4" s="19">
        <f>ROUND(M3/2.2,2)</f>
        <v>68.180000000000007</v>
      </c>
      <c r="N4" s="5"/>
      <c r="O4" s="16" t="s">
        <v>15</v>
      </c>
      <c r="P4" s="19">
        <f>ROUND(P3*2.2,2)</f>
        <v>92.4</v>
      </c>
    </row>
    <row r="5" spans="1:16" x14ac:dyDescent="0.25">
      <c r="A5" s="3"/>
      <c r="B5" s="4"/>
      <c r="C5" s="4"/>
      <c r="D5" s="4"/>
      <c r="E5" s="4"/>
      <c r="F5" s="4"/>
      <c r="G5" s="4"/>
      <c r="H5" s="4"/>
      <c r="I5" s="4"/>
      <c r="J5" s="6"/>
      <c r="K5" s="4"/>
      <c r="M5" s="4"/>
      <c r="N5" s="4"/>
      <c r="O5" s="4"/>
      <c r="P5" s="4"/>
    </row>
    <row r="6" spans="1:16" x14ac:dyDescent="0.25">
      <c r="A6" s="3"/>
      <c r="B6" s="16" t="s">
        <v>20</v>
      </c>
      <c r="C6" s="16" t="s">
        <v>22</v>
      </c>
      <c r="D6" s="16" t="s">
        <v>21</v>
      </c>
      <c r="E6" s="4"/>
      <c r="F6" s="4"/>
      <c r="G6" s="4"/>
      <c r="H6" s="4" t="s">
        <v>55</v>
      </c>
      <c r="I6" s="4" t="s">
        <v>56</v>
      </c>
      <c r="J6" s="6"/>
      <c r="K6" s="4"/>
      <c r="L6" s="30" t="s">
        <v>18</v>
      </c>
      <c r="M6" s="30"/>
      <c r="N6" s="4"/>
      <c r="O6" s="4"/>
      <c r="P6" s="4"/>
    </row>
    <row r="7" spans="1:16" x14ac:dyDescent="0.25">
      <c r="A7" s="24" t="s">
        <v>28</v>
      </c>
      <c r="B7" s="17">
        <v>68.180000000000007</v>
      </c>
      <c r="C7" s="18">
        <f>VLOOKUP($A$4, 'Aircraft Information Database'!$A$2:$AC$19,6)</f>
        <v>1959</v>
      </c>
      <c r="D7" s="19">
        <f>B7*C7</f>
        <v>133564.62000000002</v>
      </c>
      <c r="E7" s="4"/>
      <c r="F7" s="4"/>
      <c r="G7" s="4">
        <v>1</v>
      </c>
      <c r="H7" s="4">
        <f>VLOOKUP($A$4, 'Aircraft Information Database'!$A$2:$AC$19,12)</f>
        <v>20</v>
      </c>
      <c r="I7" s="4">
        <f>VLOOKUP($A$4, 'Aircraft Information Database'!$A$2:$AC$19,13)</f>
        <v>350</v>
      </c>
      <c r="J7" s="6"/>
      <c r="K7" s="4"/>
      <c r="L7" s="29" t="s">
        <v>57</v>
      </c>
      <c r="M7" s="29"/>
      <c r="N7" s="4"/>
      <c r="O7" s="4"/>
      <c r="P7" s="4"/>
    </row>
    <row r="8" spans="1:16" x14ac:dyDescent="0.25">
      <c r="A8" s="24" t="s">
        <v>29</v>
      </c>
      <c r="B8" s="17"/>
      <c r="C8" s="18">
        <f>VLOOKUP($A$4, 'Aircraft Information Database'!$A$2:$AC$19,6)</f>
        <v>1959</v>
      </c>
      <c r="D8" s="19">
        <f t="shared" ref="D8:D13" si="0">B8*C8</f>
        <v>0</v>
      </c>
      <c r="E8" s="4"/>
      <c r="F8" s="4"/>
      <c r="G8" s="4">
        <v>2</v>
      </c>
      <c r="H8" s="4">
        <f>VLOOKUP($A$4, 'Aircraft Information Database'!$A$2:$AC$19,14)</f>
        <v>30</v>
      </c>
      <c r="I8" s="4">
        <f>VLOOKUP($A$4, 'Aircraft Information Database'!$A$2:$AC$19,15)</f>
        <v>350</v>
      </c>
      <c r="J8" s="6"/>
      <c r="K8" s="4"/>
      <c r="L8" s="16" t="s">
        <v>58</v>
      </c>
      <c r="M8" s="17">
        <v>10</v>
      </c>
      <c r="N8" s="4"/>
      <c r="O8" s="4"/>
      <c r="P8" s="4"/>
    </row>
    <row r="9" spans="1:16" x14ac:dyDescent="0.25">
      <c r="A9" s="24" t="s">
        <v>30</v>
      </c>
      <c r="B9" s="17"/>
      <c r="C9" s="18">
        <f>VLOOKUP($A$4, 'Aircraft Information Database'!$A$2:$AC$19,7)</f>
        <v>0</v>
      </c>
      <c r="D9" s="19">
        <f t="shared" si="0"/>
        <v>0</v>
      </c>
      <c r="E9" s="4"/>
      <c r="F9" s="4"/>
      <c r="G9" s="4">
        <v>3</v>
      </c>
      <c r="H9" s="4">
        <f>VLOOKUP($A$4, 'Aircraft Information Database'!$A$2:$AC$19,16)</f>
        <v>33</v>
      </c>
      <c r="I9" s="4">
        <f>VLOOKUP($A$4, 'Aircraft Information Database'!$A$2:$AC$19,17)</f>
        <v>350</v>
      </c>
      <c r="J9" s="6"/>
      <c r="K9" s="4"/>
      <c r="L9" s="16" t="s">
        <v>16</v>
      </c>
      <c r="M9" s="19">
        <f>M8*2.73</f>
        <v>27.3</v>
      </c>
      <c r="N9" s="4"/>
      <c r="O9" s="4"/>
      <c r="P9" s="4"/>
    </row>
    <row r="10" spans="1:16" x14ac:dyDescent="0.25">
      <c r="A10" s="24" t="s">
        <v>31</v>
      </c>
      <c r="B10" s="17"/>
      <c r="C10" s="18">
        <f>VLOOKUP($A$4, 'Aircraft Information Database'!$A$2:$AC$19,8)</f>
        <v>2508</v>
      </c>
      <c r="D10" s="19">
        <f t="shared" si="0"/>
        <v>0</v>
      </c>
      <c r="E10" s="4"/>
      <c r="F10" s="4"/>
      <c r="G10" s="4">
        <v>4</v>
      </c>
      <c r="H10" s="4">
        <f>VLOOKUP($A$4, 'Aircraft Information Database'!$A$2:$AC$19,18)</f>
        <v>33</v>
      </c>
      <c r="I10" s="4">
        <f>VLOOKUP($A$4, 'Aircraft Information Database'!$A$2:$AC$19,19)</f>
        <v>500</v>
      </c>
      <c r="J10" s="6"/>
      <c r="K10" s="4"/>
      <c r="M10" s="4"/>
      <c r="N10" s="4"/>
      <c r="O10" s="4"/>
      <c r="P10" s="4"/>
    </row>
    <row r="11" spans="1:16" x14ac:dyDescent="0.25">
      <c r="A11" s="24" t="s">
        <v>32</v>
      </c>
      <c r="B11" s="17"/>
      <c r="C11" s="18">
        <f>VLOOKUP($A$4, 'Aircraft Information Database'!$A$2:$AC$19,9)</f>
        <v>2896</v>
      </c>
      <c r="D11" s="19">
        <f t="shared" si="0"/>
        <v>0</v>
      </c>
      <c r="E11" s="4"/>
      <c r="F11" s="4"/>
      <c r="G11" s="4">
        <v>5</v>
      </c>
      <c r="H11" s="4">
        <f>VLOOKUP($A$4, 'Aircraft Information Database'!$A$2:$AC$19,20)</f>
        <v>33</v>
      </c>
      <c r="I11" s="4">
        <f>VLOOKUP($A$4, 'Aircraft Information Database'!$A$2:$AC$19,21)</f>
        <v>600</v>
      </c>
      <c r="J11" s="6"/>
      <c r="K11" s="4"/>
      <c r="M11" s="4"/>
      <c r="N11" s="4"/>
      <c r="O11" s="4"/>
      <c r="P11" s="4"/>
    </row>
    <row r="12" spans="1:16" x14ac:dyDescent="0.25">
      <c r="A12" s="24" t="s">
        <v>27</v>
      </c>
      <c r="B12" s="17">
        <v>122.85</v>
      </c>
      <c r="C12" s="18">
        <f>VLOOKUP($A$4, 'Aircraft Information Database'!$A$2:$AC$19,10)</f>
        <v>1511</v>
      </c>
      <c r="D12" s="19">
        <f t="shared" si="0"/>
        <v>185626.35</v>
      </c>
      <c r="E12" s="4"/>
      <c r="F12" s="4"/>
      <c r="G12" s="4">
        <v>6</v>
      </c>
      <c r="H12" s="4">
        <f>VLOOKUP($A$4, 'Aircraft Information Database'!$A$2:$AC$19,22)</f>
        <v>30</v>
      </c>
      <c r="I12" s="4">
        <f>VLOOKUP($A$4, 'Aircraft Information Database'!$A$2:$AC$19,23)</f>
        <v>600</v>
      </c>
      <c r="J12" s="6"/>
      <c r="K12" s="4"/>
      <c r="M12" s="4"/>
      <c r="N12" s="4"/>
      <c r="O12" s="4"/>
      <c r="P12" s="4"/>
    </row>
    <row r="13" spans="1:16" x14ac:dyDescent="0.25">
      <c r="A13" s="24" t="s">
        <v>33</v>
      </c>
      <c r="B13" s="17"/>
      <c r="C13" s="18">
        <f>VLOOKUP($A$4, 'Aircraft Information Database'!$A$2:$AC$19,11)</f>
        <v>0</v>
      </c>
      <c r="D13" s="19">
        <f t="shared" si="0"/>
        <v>0</v>
      </c>
      <c r="E13" s="4"/>
      <c r="F13" s="4"/>
      <c r="G13" s="4">
        <v>7</v>
      </c>
      <c r="H13" s="4">
        <f>VLOOKUP($A$4, 'Aircraft Information Database'!$A$2:$AC$19,24)</f>
        <v>20</v>
      </c>
      <c r="I13" s="4">
        <f>VLOOKUP($A$4, 'Aircraft Information Database'!$A$2:$AC$19,25)</f>
        <v>600</v>
      </c>
      <c r="J13" s="6"/>
      <c r="K13" s="4"/>
      <c r="M13" s="4"/>
      <c r="N13" s="4"/>
      <c r="O13" s="4"/>
      <c r="P13" s="4"/>
    </row>
    <row r="14" spans="1:16" x14ac:dyDescent="0.25">
      <c r="A14" s="3"/>
      <c r="B14" s="4"/>
      <c r="C14" s="4"/>
      <c r="D14" s="4"/>
      <c r="E14" s="4"/>
      <c r="F14" s="4"/>
      <c r="G14" s="4">
        <v>8</v>
      </c>
      <c r="H14" s="4">
        <f>VLOOKUP($A$4, 'Aircraft Information Database'!$A$2:$AC$19,26)</f>
        <v>20</v>
      </c>
      <c r="I14" s="4">
        <f>VLOOKUP($A$4, 'Aircraft Information Database'!$A$2:$AC$19,27)</f>
        <v>500</v>
      </c>
      <c r="J14" s="6"/>
      <c r="K14" s="4"/>
      <c r="M14" s="4"/>
      <c r="N14" s="4"/>
      <c r="O14" s="4"/>
      <c r="P14" s="4"/>
    </row>
    <row r="15" spans="1:16" x14ac:dyDescent="0.25">
      <c r="A15" s="24" t="s">
        <v>35</v>
      </c>
      <c r="B15" s="16"/>
      <c r="C15" s="16"/>
      <c r="D15" s="19">
        <f>SUM(C4,D7:D13)</f>
        <v>1005956.97</v>
      </c>
      <c r="E15" s="4"/>
      <c r="F15" s="4"/>
      <c r="G15" s="4">
        <v>9</v>
      </c>
      <c r="H15" s="4">
        <f>VLOOKUP($A$4, 'Aircraft Information Database'!$A$2:$AC$19,28)</f>
        <v>20</v>
      </c>
      <c r="I15" s="4">
        <f>VLOOKUP($A$4, 'Aircraft Information Database'!$A$2:$AC$19,29)</f>
        <v>350</v>
      </c>
      <c r="J15" s="6"/>
      <c r="K15" s="4"/>
      <c r="M15" s="4"/>
      <c r="N15" s="4"/>
      <c r="O15" s="4"/>
      <c r="P15" s="4"/>
    </row>
    <row r="16" spans="1:16" x14ac:dyDescent="0.25">
      <c r="A16" s="24" t="s">
        <v>34</v>
      </c>
      <c r="B16" s="20">
        <f>SUMIF(C7:C13,"&lt;&gt;0",B7:B13)+B4</f>
        <v>598.53</v>
      </c>
      <c r="C16" s="16"/>
      <c r="D16" s="16"/>
      <c r="E16" s="4"/>
      <c r="F16" s="4"/>
      <c r="G16" s="4"/>
      <c r="H16" s="4"/>
      <c r="I16" s="4"/>
      <c r="J16" s="6"/>
      <c r="K16" s="4"/>
      <c r="M16" s="4"/>
      <c r="N16" s="4"/>
      <c r="O16" s="4"/>
      <c r="P16" s="4"/>
    </row>
    <row r="17" spans="1:16" x14ac:dyDescent="0.25">
      <c r="A17" s="24" t="s">
        <v>36</v>
      </c>
      <c r="B17" s="16"/>
      <c r="C17" s="19">
        <f>D15/B16</f>
        <v>1680.7126961054585</v>
      </c>
      <c r="D17" s="16"/>
      <c r="E17" s="4"/>
      <c r="F17" s="4"/>
      <c r="G17" s="4"/>
      <c r="H17" s="4"/>
      <c r="I17" s="4"/>
      <c r="J17" s="6"/>
      <c r="K17" s="4"/>
      <c r="M17" s="4"/>
      <c r="N17" s="4"/>
      <c r="O17" s="4"/>
      <c r="P17" s="4"/>
    </row>
    <row r="18" spans="1:16" x14ac:dyDescent="0.25">
      <c r="A18" s="24" t="s">
        <v>23</v>
      </c>
      <c r="B18" s="16"/>
      <c r="C18" s="20">
        <f>100*(C17-E4)/D4</f>
        <v>23.503562069115642</v>
      </c>
      <c r="D18" s="16"/>
      <c r="E18" s="4"/>
      <c r="F18" s="4"/>
      <c r="G18" s="4"/>
      <c r="H18" s="4"/>
      <c r="I18" s="4"/>
      <c r="J18" s="6"/>
      <c r="K18" s="4"/>
      <c r="M18" s="4"/>
      <c r="N18" s="4"/>
      <c r="O18" s="4"/>
      <c r="P18" s="4"/>
    </row>
    <row r="19" spans="1:16" x14ac:dyDescent="0.25">
      <c r="A19" s="3"/>
      <c r="B19" s="4"/>
      <c r="C19" s="4"/>
      <c r="D19" s="4"/>
      <c r="E19" s="4"/>
      <c r="F19" s="4"/>
      <c r="G19" s="4"/>
      <c r="H19" s="4"/>
      <c r="I19" s="4"/>
      <c r="J19" s="6"/>
      <c r="K19" s="4"/>
      <c r="M19" s="4"/>
      <c r="N19" s="4"/>
      <c r="O19" s="4"/>
      <c r="P19" s="4"/>
    </row>
    <row r="20" spans="1:16" x14ac:dyDescent="0.25">
      <c r="A20" s="24" t="s">
        <v>60</v>
      </c>
      <c r="B20" s="17" t="s">
        <v>61</v>
      </c>
      <c r="C20" s="18" t="s">
        <v>62</v>
      </c>
      <c r="D20" s="19" t="s">
        <v>63</v>
      </c>
      <c r="E20" s="21" t="s">
        <v>67</v>
      </c>
      <c r="F20" s="4"/>
      <c r="G20" s="4"/>
      <c r="H20" s="4"/>
      <c r="I20" s="4"/>
      <c r="J20" s="6"/>
      <c r="K20" s="4"/>
      <c r="M20" s="4"/>
      <c r="N20" s="4"/>
      <c r="O20" s="4"/>
      <c r="P20" s="4"/>
    </row>
    <row r="21" spans="1:16" ht="15.75" thickBot="1" x14ac:dyDescent="0.3">
      <c r="A21" s="7"/>
      <c r="B21" s="8"/>
      <c r="C21" s="8"/>
      <c r="D21" s="8"/>
      <c r="E21" s="8"/>
      <c r="F21" s="8"/>
      <c r="G21" s="8"/>
      <c r="H21" s="8"/>
      <c r="I21" s="8"/>
      <c r="J21" s="9"/>
      <c r="K21" s="4"/>
      <c r="M21" s="4"/>
      <c r="N21" s="4"/>
      <c r="O21" s="4"/>
      <c r="P21" s="4"/>
    </row>
    <row r="22" spans="1:16" ht="15.75" thickTop="1" x14ac:dyDescent="0.25"/>
  </sheetData>
  <mergeCells count="7">
    <mergeCell ref="L6:M6"/>
    <mergeCell ref="L7:M7"/>
    <mergeCell ref="G3:H3"/>
    <mergeCell ref="L1:P1"/>
    <mergeCell ref="L2:M2"/>
    <mergeCell ref="O2:P2"/>
    <mergeCell ref="A1:E1"/>
  </mergeCells>
  <conditionalFormatting sqref="B7:B13">
    <cfRule type="expression" dxfId="2" priority="3">
      <formula>C7=0</formula>
    </cfRule>
  </conditionalFormatting>
  <conditionalFormatting sqref="G4">
    <cfRule type="expression" dxfId="1" priority="1">
      <formula>B16&gt;G4</formula>
    </cfRule>
    <cfRule type="expression" dxfId="0" priority="2">
      <formula>B16&lt;G4</formula>
    </cfRule>
  </conditionalFormatting>
  <pageMargins left="0.7" right="0.7" top="0.75" bottom="0.75" header="0.3" footer="0.3"/>
  <pageSetup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B73861-F3AB-42A3-ABA0-EF4F880D0D77}">
          <x14:formula1>
            <xm:f>'Aircraft Information Database'!$A$2:$A$19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BCEF-EB0E-4EE4-9E1E-B2F6B572E9A6}">
  <sheetPr codeName="Sheet2"/>
  <dimension ref="A1:AC22"/>
  <sheetViews>
    <sheetView workbookViewId="0">
      <selection activeCell="A10" sqref="A10"/>
    </sheetView>
  </sheetViews>
  <sheetFormatPr defaultRowHeight="15" x14ac:dyDescent="0.25"/>
  <cols>
    <col min="1" max="1" width="18" bestFit="1" customWidth="1"/>
    <col min="2" max="2" width="13.5703125" bestFit="1" customWidth="1"/>
    <col min="3" max="3" width="14.7109375" bestFit="1" customWidth="1"/>
    <col min="5" max="5" width="14.28515625" bestFit="1" customWidth="1"/>
    <col min="6" max="6" width="15.140625" bestFit="1" customWidth="1"/>
    <col min="7" max="7" width="14.5703125" bestFit="1" customWidth="1"/>
    <col min="8" max="8" width="16.140625" bestFit="1" customWidth="1"/>
    <col min="9" max="9" width="11.42578125" bestFit="1" customWidth="1"/>
    <col min="11" max="11" width="13.85546875" bestFit="1" customWidth="1"/>
  </cols>
  <sheetData>
    <row r="1" spans="1:29" x14ac:dyDescent="0.25">
      <c r="A1" t="s">
        <v>11</v>
      </c>
      <c r="B1" t="s">
        <v>4</v>
      </c>
      <c r="C1" t="s">
        <v>5</v>
      </c>
      <c r="D1" t="s">
        <v>6</v>
      </c>
      <c r="E1" t="s">
        <v>7</v>
      </c>
      <c r="F1" t="s">
        <v>24</v>
      </c>
      <c r="G1" t="s">
        <v>25</v>
      </c>
      <c r="H1" t="s">
        <v>17</v>
      </c>
      <c r="I1" t="s">
        <v>26</v>
      </c>
      <c r="J1" t="s">
        <v>18</v>
      </c>
      <c r="K1" t="s">
        <v>19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</row>
    <row r="2" spans="1:29" x14ac:dyDescent="0.25">
      <c r="A2" s="1" t="s">
        <v>8</v>
      </c>
      <c r="B2" s="1">
        <v>370</v>
      </c>
      <c r="C2" s="1">
        <v>623500</v>
      </c>
      <c r="D2" s="1">
        <v>1339</v>
      </c>
      <c r="E2" s="1">
        <v>1366</v>
      </c>
      <c r="F2" s="1">
        <v>1959</v>
      </c>
      <c r="G2" s="1">
        <v>0</v>
      </c>
      <c r="H2" s="1">
        <v>2508</v>
      </c>
      <c r="I2" s="1">
        <v>2896</v>
      </c>
      <c r="J2" s="1">
        <v>1511</v>
      </c>
      <c r="K2" s="1">
        <v>0</v>
      </c>
      <c r="L2" s="1">
        <v>20</v>
      </c>
      <c r="M2" s="1">
        <v>350</v>
      </c>
      <c r="N2" s="1">
        <v>30</v>
      </c>
      <c r="O2" s="1">
        <v>350</v>
      </c>
      <c r="P2" s="1">
        <v>33</v>
      </c>
      <c r="Q2" s="1">
        <v>350</v>
      </c>
      <c r="R2" s="1">
        <v>33</v>
      </c>
      <c r="S2" s="1">
        <v>500</v>
      </c>
      <c r="T2" s="1">
        <v>33</v>
      </c>
      <c r="U2" s="1">
        <v>700</v>
      </c>
      <c r="V2" s="1">
        <v>30</v>
      </c>
      <c r="W2" s="1">
        <v>700</v>
      </c>
      <c r="X2" s="1">
        <v>20</v>
      </c>
      <c r="Y2" s="1">
        <v>700</v>
      </c>
      <c r="Z2" s="1">
        <v>20</v>
      </c>
      <c r="AA2" s="1">
        <v>500</v>
      </c>
      <c r="AB2" s="1">
        <v>20</v>
      </c>
      <c r="AC2" s="1">
        <v>350</v>
      </c>
    </row>
    <row r="3" spans="1:29" x14ac:dyDescent="0.25">
      <c r="A3" s="1" t="s">
        <v>2</v>
      </c>
      <c r="B3" s="1">
        <v>370</v>
      </c>
      <c r="C3" s="1">
        <v>623500</v>
      </c>
      <c r="D3" s="1">
        <v>1339</v>
      </c>
      <c r="E3" s="1">
        <v>1366</v>
      </c>
      <c r="F3" s="1">
        <v>1959</v>
      </c>
      <c r="G3" s="1">
        <v>0</v>
      </c>
      <c r="H3" s="1">
        <v>2508</v>
      </c>
      <c r="I3" s="1">
        <v>2896</v>
      </c>
      <c r="J3" s="1">
        <v>1511</v>
      </c>
      <c r="K3" s="1">
        <v>0</v>
      </c>
      <c r="L3" s="1">
        <v>20</v>
      </c>
      <c r="M3" s="1">
        <v>350</v>
      </c>
      <c r="N3" s="1">
        <v>30</v>
      </c>
      <c r="O3" s="1">
        <v>350</v>
      </c>
      <c r="P3" s="1">
        <v>33</v>
      </c>
      <c r="Q3" s="1">
        <v>350</v>
      </c>
      <c r="R3" s="1">
        <v>33</v>
      </c>
      <c r="S3" s="1">
        <v>500</v>
      </c>
      <c r="T3" s="1">
        <v>33</v>
      </c>
      <c r="U3" s="1">
        <v>600</v>
      </c>
      <c r="V3" s="1">
        <v>30</v>
      </c>
      <c r="W3" s="1">
        <v>600</v>
      </c>
      <c r="X3" s="1">
        <v>20</v>
      </c>
      <c r="Y3" s="1">
        <v>600</v>
      </c>
      <c r="Z3" s="1">
        <v>20</v>
      </c>
      <c r="AA3" s="1">
        <v>500</v>
      </c>
      <c r="AB3" s="1">
        <v>20</v>
      </c>
      <c r="AC3" s="1">
        <v>350</v>
      </c>
    </row>
    <row r="4" spans="1:29" x14ac:dyDescent="0.25">
      <c r="A4" s="1" t="s">
        <v>12</v>
      </c>
      <c r="B4" s="1">
        <v>407.5</v>
      </c>
      <c r="C4" s="1">
        <v>686766</v>
      </c>
      <c r="D4" s="1">
        <v>1339</v>
      </c>
      <c r="E4" s="1">
        <v>1366</v>
      </c>
      <c r="F4" s="1">
        <v>1959</v>
      </c>
      <c r="G4" s="1">
        <v>0</v>
      </c>
      <c r="H4" s="1">
        <v>2508</v>
      </c>
      <c r="I4" s="1">
        <v>2896</v>
      </c>
      <c r="J4" s="1">
        <v>1511</v>
      </c>
      <c r="K4" s="1">
        <v>0</v>
      </c>
      <c r="L4" s="1">
        <v>20</v>
      </c>
      <c r="M4" s="1">
        <v>350</v>
      </c>
      <c r="N4" s="1">
        <v>30</v>
      </c>
      <c r="O4" s="1">
        <v>350</v>
      </c>
      <c r="P4" s="1">
        <v>33</v>
      </c>
      <c r="Q4" s="1">
        <v>350</v>
      </c>
      <c r="R4" s="1">
        <v>33</v>
      </c>
      <c r="S4" s="1">
        <v>500</v>
      </c>
      <c r="T4" s="1">
        <v>33</v>
      </c>
      <c r="U4" s="1">
        <v>600</v>
      </c>
      <c r="V4" s="1">
        <v>30</v>
      </c>
      <c r="W4" s="1">
        <v>600</v>
      </c>
      <c r="X4" s="1">
        <v>20</v>
      </c>
      <c r="Y4" s="1">
        <v>600</v>
      </c>
      <c r="Z4" s="1">
        <v>20</v>
      </c>
      <c r="AA4" s="1">
        <v>500</v>
      </c>
      <c r="AB4" s="1">
        <v>20</v>
      </c>
      <c r="AC4" s="1">
        <v>350</v>
      </c>
    </row>
    <row r="5" spans="1:29" x14ac:dyDescent="0.25">
      <c r="A5" s="1" t="s">
        <v>9</v>
      </c>
      <c r="B5" s="1">
        <v>490</v>
      </c>
      <c r="C5" s="1">
        <v>944230</v>
      </c>
      <c r="D5" s="1">
        <v>1349</v>
      </c>
      <c r="E5" s="1">
        <v>1616</v>
      </c>
      <c r="F5" s="1">
        <v>1902</v>
      </c>
      <c r="G5" s="1">
        <v>2948</v>
      </c>
      <c r="H5" s="1">
        <v>3288</v>
      </c>
      <c r="I5" s="1">
        <v>0</v>
      </c>
      <c r="J5" s="1">
        <v>1761</v>
      </c>
      <c r="K5" s="1">
        <v>0</v>
      </c>
      <c r="L5" s="1">
        <v>18</v>
      </c>
      <c r="M5" s="1">
        <v>400</v>
      </c>
      <c r="N5" s="1">
        <v>28</v>
      </c>
      <c r="O5" s="1">
        <v>400</v>
      </c>
      <c r="P5" s="1">
        <v>28</v>
      </c>
      <c r="Q5" s="1">
        <v>700</v>
      </c>
      <c r="R5" s="1">
        <v>31</v>
      </c>
      <c r="S5" s="1">
        <v>700</v>
      </c>
      <c r="T5" s="1">
        <v>31</v>
      </c>
      <c r="U5" s="1">
        <v>920</v>
      </c>
      <c r="V5" s="1">
        <v>24</v>
      </c>
      <c r="W5" s="1">
        <v>920</v>
      </c>
      <c r="X5" s="1">
        <v>24</v>
      </c>
      <c r="Y5" s="1">
        <v>840</v>
      </c>
      <c r="Z5" s="1">
        <v>18</v>
      </c>
      <c r="AA5" s="1">
        <v>840</v>
      </c>
      <c r="AB5" s="1">
        <v>18</v>
      </c>
      <c r="AC5" s="1">
        <v>400</v>
      </c>
    </row>
    <row r="6" spans="1:29" x14ac:dyDescent="0.25">
      <c r="A6" s="1" t="s">
        <v>71</v>
      </c>
      <c r="B6" s="1">
        <v>490</v>
      </c>
      <c r="C6" s="1">
        <v>944230</v>
      </c>
      <c r="D6" s="1">
        <v>1349</v>
      </c>
      <c r="E6" s="1">
        <v>1616</v>
      </c>
      <c r="F6" s="1">
        <v>1902</v>
      </c>
      <c r="G6" s="1">
        <v>2948</v>
      </c>
      <c r="H6" s="1">
        <v>3288</v>
      </c>
      <c r="I6" s="1">
        <v>0</v>
      </c>
      <c r="J6" s="1">
        <v>1761</v>
      </c>
      <c r="K6" s="1">
        <v>0</v>
      </c>
      <c r="L6" s="1">
        <v>18</v>
      </c>
      <c r="M6" s="1">
        <v>400</v>
      </c>
      <c r="N6" s="1">
        <v>28</v>
      </c>
      <c r="O6" s="1">
        <v>400</v>
      </c>
      <c r="P6" s="1">
        <v>28</v>
      </c>
      <c r="Q6" s="1">
        <v>700</v>
      </c>
      <c r="R6" s="1">
        <v>31</v>
      </c>
      <c r="S6" s="1">
        <v>700</v>
      </c>
      <c r="T6" s="1">
        <v>31</v>
      </c>
      <c r="U6" s="1">
        <v>920</v>
      </c>
      <c r="V6" s="1">
        <v>24</v>
      </c>
      <c r="W6" s="1">
        <v>920</v>
      </c>
      <c r="X6" s="1">
        <v>24</v>
      </c>
      <c r="Y6" s="1">
        <v>840</v>
      </c>
      <c r="Z6" s="1">
        <v>18</v>
      </c>
      <c r="AA6" s="1">
        <v>840</v>
      </c>
      <c r="AB6" s="1">
        <v>18</v>
      </c>
      <c r="AC6" s="1">
        <v>400</v>
      </c>
    </row>
    <row r="7" spans="1:29" x14ac:dyDescent="0.25">
      <c r="A7" s="1" t="s">
        <v>3</v>
      </c>
      <c r="B7" s="1">
        <v>490</v>
      </c>
      <c r="C7" s="1">
        <v>909440</v>
      </c>
      <c r="D7" s="1">
        <v>1302</v>
      </c>
      <c r="E7" s="1">
        <v>1613</v>
      </c>
      <c r="F7" s="1">
        <v>1902</v>
      </c>
      <c r="G7" s="1">
        <v>2948</v>
      </c>
      <c r="H7" s="1">
        <v>3288</v>
      </c>
      <c r="I7" s="1">
        <v>0</v>
      </c>
      <c r="J7" s="1">
        <v>1800</v>
      </c>
      <c r="K7" s="1">
        <v>0</v>
      </c>
      <c r="L7" s="1">
        <v>18</v>
      </c>
      <c r="M7" s="1">
        <v>490</v>
      </c>
      <c r="N7" s="1">
        <v>28</v>
      </c>
      <c r="O7" s="1">
        <v>490</v>
      </c>
      <c r="P7" s="1">
        <v>33</v>
      </c>
      <c r="Q7" s="1">
        <v>700</v>
      </c>
      <c r="R7" s="1">
        <v>33</v>
      </c>
      <c r="S7" s="1">
        <v>840</v>
      </c>
      <c r="T7" s="1">
        <v>33</v>
      </c>
      <c r="U7" s="1">
        <v>950</v>
      </c>
      <c r="V7" s="1">
        <v>24</v>
      </c>
      <c r="W7" s="1">
        <v>950</v>
      </c>
      <c r="X7" s="1">
        <v>18</v>
      </c>
      <c r="Y7" s="1">
        <v>840</v>
      </c>
      <c r="Z7" s="1">
        <v>18</v>
      </c>
      <c r="AA7" s="1">
        <v>700</v>
      </c>
      <c r="AB7" s="1">
        <v>18</v>
      </c>
      <c r="AC7" s="1">
        <v>490</v>
      </c>
    </row>
    <row r="8" spans="1:29" x14ac:dyDescent="0.25">
      <c r="A8" s="1" t="s">
        <v>10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</row>
    <row r="9" spans="1:2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t="s">
        <v>66</v>
      </c>
    </row>
    <row r="21" spans="1:29" x14ac:dyDescent="0.25">
      <c r="A21" t="s">
        <v>64</v>
      </c>
    </row>
    <row r="22" spans="1:29" x14ac:dyDescent="0.25">
      <c r="A22" t="s">
        <v>65</v>
      </c>
    </row>
  </sheetData>
  <sortState xmlns:xlrd2="http://schemas.microsoft.com/office/spreadsheetml/2017/richdata2" ref="A2:AC8">
    <sortCondition ref="A2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W&amp;B Calculator</vt:lpstr>
      <vt:lpstr>Aircraft Information 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Black</dc:creator>
  <cp:lastModifiedBy>Caitlin Black</cp:lastModifiedBy>
  <cp:lastPrinted>2020-03-31T05:07:38Z</cp:lastPrinted>
  <dcterms:created xsi:type="dcterms:W3CDTF">2020-03-30T19:21:15Z</dcterms:created>
  <dcterms:modified xsi:type="dcterms:W3CDTF">2020-03-31T05:19:26Z</dcterms:modified>
</cp:coreProperties>
</file>